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activeTab="3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_xlnm.Print_Area" localSheetId="0">'balance sheet'!$A$1:$F$57</definedName>
    <definedName name="_xlnm.Print_Area" localSheetId="2">'equity'!$A$1:$N$40</definedName>
    <definedName name="_xlnm.Print_Area" localSheetId="1">'income stat'!$A$1:$K$47</definedName>
  </definedNames>
  <calcPr fullCalcOnLoad="1"/>
</workbook>
</file>

<file path=xl/sharedStrings.xml><?xml version="1.0" encoding="utf-8"?>
<sst xmlns="http://schemas.openxmlformats.org/spreadsheetml/2006/main" count="162" uniqueCount="116">
  <si>
    <t>First quarter interim report for the financial period ended 30 June 2004</t>
  </si>
  <si>
    <t>(The firgures have not been audited)</t>
  </si>
  <si>
    <t>CONDENSED CONSOLIDATED BALANCE SHEETS</t>
  </si>
  <si>
    <t>30/06/04</t>
  </si>
  <si>
    <t>31/03/04</t>
  </si>
  <si>
    <t>RM'000</t>
  </si>
  <si>
    <t>Property, plant and equipment</t>
  </si>
  <si>
    <t>Investment in joint venture companies</t>
  </si>
  <si>
    <t>Other investment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</si>
  <si>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</si>
  <si>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</si>
  <si>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</si>
  <si>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</si>
  <si>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Amount owing by joint venture companies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</si>
  <si>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</si>
  <si>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</si>
  <si>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</si>
  <si>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</si>
  <si>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</si>
  <si>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</si>
  <si>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Amount owing to joint venture companies</t>
  </si>
  <si>
    <t xml:space="preserve">   Short term borrowings</t>
  </si>
  <si>
    <t xml:space="preserve">   Dividend payable</t>
  </si>
  <si>
    <t>Net Current Assets</t>
  </si>
  <si>
    <t>Financed by</t>
  </si>
  <si>
    <t>Share Capital</t>
  </si>
  <si>
    <t>Reserves</t>
  </si>
  <si>
    <t xml:space="preserve">   Retained profits</t>
  </si>
  <si>
    <t xml:space="preserve">   Share premium</t>
  </si>
  <si>
    <t xml:space="preserve">   Reserve on consolidation</t>
  </si>
  <si>
    <t>Shareholders' equity</t>
  </si>
  <si>
    <t>Minority interests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</si>
  <si>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</si>
  <si>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</si>
  <si>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</si>
  <si>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</si>
  <si>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(The notes set out on pages 5 to 10 form an integral part of and should be read in conjunction with this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</si>
  <si>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</si>
  <si>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</si>
  <si>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</si>
  <si>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</si>
  <si>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</si>
  <si>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</si>
  <si>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</si>
  <si>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</si>
  <si>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</si>
  <si>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</si>
  <si>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</si>
  <si>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</si>
  <si>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30/06/03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</si>
  <si>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</si>
  <si>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</si>
  <si>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</si>
  <si>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</si>
  <si>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</si>
  <si>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</si>
  <si>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Share of results of an associated company</t>
  </si>
  <si>
    <t>Share of results of  joint venture companies</t>
  </si>
  <si>
    <t>Profit before taxation</t>
  </si>
  <si>
    <t>Taxation</t>
  </si>
  <si>
    <t>Profit after taxation</t>
  </si>
  <si>
    <t>Net profit for the period</t>
  </si>
  <si>
    <t>Earning per share (sen)</t>
  </si>
  <si>
    <t xml:space="preserve"> </t>
  </si>
  <si>
    <t xml:space="preserve">  Basic</t>
  </si>
  <si>
    <t xml:space="preserve">  Diluted</t>
  </si>
  <si>
    <t>n/a</t>
  </si>
  <si>
    <t>CONDENSED CONSOLIDATED STATEMENT OF CHANGES IN EQUITY</t>
  </si>
  <si>
    <t xml:space="preserve">Share </t>
  </si>
  <si>
    <t>Reserve on</t>
  </si>
  <si>
    <t xml:space="preserve">Retained </t>
  </si>
  <si>
    <t>Dividends</t>
  </si>
  <si>
    <t>capital</t>
  </si>
  <si>
    <t>premium</t>
  </si>
  <si>
    <t xml:space="preserve"> consolidation</t>
  </si>
  <si>
    <t>profits</t>
  </si>
  <si>
    <t>proposed</t>
  </si>
  <si>
    <t>Total</t>
  </si>
  <si>
    <t>Balance as at 1 April  2004</t>
  </si>
  <si>
    <t>Amortisation for the year</t>
  </si>
  <si>
    <t>Net profit for the year</t>
  </si>
  <si>
    <t>Dividend paid in respect of previous</t>
  </si>
  <si>
    <t xml:space="preserve">  financial year</t>
  </si>
  <si>
    <t>Interim dividend declared in respect of</t>
  </si>
  <si>
    <r>
      <t xml:space="preserve">  current financial year </t>
    </r>
    <r>
      <rPr>
        <vertAlign val="superscript"/>
        <sz val="10"/>
        <rFont val="Times New Roman"/>
        <family val="1"/>
      </rPr>
      <t>1</t>
    </r>
  </si>
  <si>
    <t xml:space="preserve">Final dividend proposed in respect </t>
  </si>
  <si>
    <t xml:space="preserve">  of the current financial year</t>
  </si>
  <si>
    <t>Balance as at 30 June 2004</t>
  </si>
  <si>
    <t>Balance as at 1 April 2003</t>
  </si>
  <si>
    <t>Balance as at 30 June 2003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</si>
  <si>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</si>
  <si>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</si>
  <si>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</si>
  <si>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</si>
  <si>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</si>
  <si>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generated from operations</t>
  </si>
  <si>
    <t>Interest paid</t>
  </si>
  <si>
    <t>Tax paid</t>
  </si>
  <si>
    <t>Net cash outflow from operating activities</t>
  </si>
  <si>
    <t>CASH FLOWS FROM INVESTING ACTIVITIES</t>
  </si>
  <si>
    <t>Other investments</t>
  </si>
  <si>
    <t>Dividend received from joint venture company</t>
  </si>
  <si>
    <t>Disposal of investment</t>
  </si>
  <si>
    <t>Equity investment</t>
  </si>
  <si>
    <t>Net cash outflow from investing activities</t>
  </si>
  <si>
    <t>CASH FLOWS FROM FINANCING ACTIVITIES</t>
  </si>
  <si>
    <t>Bank borrowings</t>
  </si>
  <si>
    <t>Dividend paid to the former shareholders of</t>
  </si>
  <si>
    <t xml:space="preserve"> the subsidiary companies</t>
  </si>
  <si>
    <t>Repayment from a joint venture company</t>
  </si>
  <si>
    <t>Dividend paid to the shareholders of the Company</t>
  </si>
  <si>
    <t>Net cash inflow/(outflow) from financing activities</t>
  </si>
  <si>
    <t>Net decrease  in cash and cash equivalents</t>
  </si>
  <si>
    <t>Cash and cash equivalents at beginning of financial year</t>
  </si>
  <si>
    <t>Cash and cash equivalents at end of financial year</t>
  </si>
  <si>
    <t>ACOUSTECH BERHAD (496665-W)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</si>
</sst>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72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172" fontId="1" fillId="0" borderId="0" xfId="0" applyFont="1" applyAlignment="1" quotePrefix="1">
      <alignment horizontal="left"/>
    </xf>
    <xf numFmtId="172" fontId="2" fillId="0" borderId="0" xfId="0" applyFont="1" applyAlignment="1" quotePrefix="1">
      <alignment horizontal="left"/>
    </xf>
    <xf numFmtId="172" fontId="2" fillId="0" borderId="0" xfId="0" applyFont="1" applyBorder="1" applyAlignment="1">
      <alignment/>
    </xf>
    <xf numFmtId="172" fontId="2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172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72" fontId="1" fillId="0" borderId="0" xfId="0" applyFont="1" applyAlignment="1">
      <alignment horizontal="left"/>
    </xf>
    <xf numFmtId="172" fontId="2" fillId="0" borderId="0" xfId="0" applyFont="1" applyFill="1" applyAlignment="1" quotePrefix="1">
      <alignment horizontal="center"/>
    </xf>
    <xf numFmtId="172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72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172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172" fontId="1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72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72" fontId="6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 quotePrefix="1">
      <alignment/>
    </xf>
    <xf numFmtId="164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43" fontId="1" fillId="0" borderId="6" xfId="15" applyFont="1" applyFill="1" applyBorder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2" fontId="2" fillId="0" borderId="0" xfId="0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72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43" fontId="2" fillId="0" borderId="9" xfId="15" applyNumberFormat="1" applyFont="1" applyFill="1" applyBorder="1" applyAlignment="1">
      <alignment horizontal="right"/>
    </xf>
    <xf numFmtId="43" fontId="1" fillId="0" borderId="9" xfId="15" applyNumberFormat="1" applyFont="1" applyFill="1" applyBorder="1" applyAlignment="1">
      <alignment horizontal="right"/>
    </xf>
    <xf numFmtId="164" fontId="1" fillId="0" borderId="6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1" fillId="0" borderId="8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2" fontId="1" fillId="0" borderId="0" xfId="0" applyFont="1" applyAlignment="1" quotePrefix="1">
      <alignment horizontal="right"/>
    </xf>
    <xf numFmtId="172" fontId="8" fillId="0" borderId="0" xfId="0" applyFont="1" applyAlignment="1">
      <alignment horizontal="left"/>
    </xf>
    <xf numFmtId="172" fontId="2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right"/>
    </xf>
    <xf numFmtId="164" fontId="2" fillId="0" borderId="3" xfId="15" applyNumberFormat="1" applyFont="1" applyFill="1" applyBorder="1" applyAlignment="1">
      <alignment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1" fillId="0" borderId="0" xfId="0" applyFont="1" applyFill="1" applyAlignment="1">
      <alignment horizontal="centerContinuous"/>
    </xf>
    <xf numFmtId="172" fontId="3" fillId="0" borderId="0" xfId="0" applyFont="1" applyAlignment="1" quotePrefix="1">
      <alignment horizontal="centerContinuous"/>
    </xf>
    <xf numFmtId="172" fontId="5" fillId="0" borderId="0" xfId="0" applyFont="1" applyAlignment="1" quotePrefix="1">
      <alignment horizontal="centerContinuous"/>
    </xf>
    <xf numFmtId="172" fontId="7" fillId="0" borderId="0" xfId="0" applyFont="1" applyAlignment="1" quotePrefix="1">
      <alignment horizontal="left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Alignment="1" quotePrefix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ed%20Account-1st%20Quarter(2004)%20(NEW%20FORMA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solidated%20account-1st%20quartely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s.equity"/>
      <sheetName val="cash flow"/>
    </sheetNames>
    <sheetDataSet>
      <sheetData sheetId="0">
        <row r="19">
          <cell r="D19">
            <v>3755.62971</v>
          </cell>
        </row>
        <row r="44">
          <cell r="D44">
            <v>77999.9996</v>
          </cell>
        </row>
      </sheetData>
      <sheetData sheetId="1">
        <row r="15">
          <cell r="D15">
            <v>53702.979</v>
          </cell>
        </row>
        <row r="17">
          <cell r="D17">
            <v>-50106.22687</v>
          </cell>
        </row>
        <row r="19">
          <cell r="D19">
            <v>311.27833000000004</v>
          </cell>
        </row>
        <row r="23">
          <cell r="D23">
            <v>-242.89577999999997</v>
          </cell>
        </row>
        <row r="25">
          <cell r="D25">
            <v>236.357</v>
          </cell>
        </row>
        <row r="27">
          <cell r="D27">
            <v>606.316</v>
          </cell>
        </row>
        <row r="29">
          <cell r="D29">
            <v>4507.461709999994</v>
          </cell>
        </row>
        <row r="31">
          <cell r="D31">
            <v>-1274.869</v>
          </cell>
        </row>
        <row r="35">
          <cell r="D35">
            <v>88.169</v>
          </cell>
        </row>
      </sheetData>
      <sheetData sheetId="2">
        <row r="17">
          <cell r="H17">
            <v>-4</v>
          </cell>
        </row>
        <row r="19">
          <cell r="D19">
            <v>78000</v>
          </cell>
          <cell r="F19">
            <v>4689.243</v>
          </cell>
        </row>
      </sheetData>
      <sheetData sheetId="3">
        <row r="15">
          <cell r="D15">
            <v>4507.461709999998</v>
          </cell>
        </row>
        <row r="19">
          <cell r="D19">
            <v>894.0639400000001</v>
          </cell>
        </row>
        <row r="20">
          <cell r="D20">
            <v>-4</v>
          </cell>
        </row>
        <row r="21">
          <cell r="D21">
            <v>232.82993</v>
          </cell>
        </row>
        <row r="22">
          <cell r="D22">
            <v>-77.30887</v>
          </cell>
        </row>
        <row r="23">
          <cell r="D23">
            <v>-236.357</v>
          </cell>
        </row>
        <row r="24">
          <cell r="D24">
            <v>-606.316</v>
          </cell>
        </row>
        <row r="28">
          <cell r="D28">
            <v>-1988.0182800000002</v>
          </cell>
        </row>
        <row r="29">
          <cell r="D29">
            <v>-16477.07162</v>
          </cell>
        </row>
        <row r="30">
          <cell r="D30">
            <v>45.81053000000061</v>
          </cell>
        </row>
        <row r="31">
          <cell r="D31">
            <v>12769.79901</v>
          </cell>
        </row>
        <row r="32">
          <cell r="D32">
            <v>783.15178</v>
          </cell>
        </row>
        <row r="33">
          <cell r="D33">
            <v>-597.8607299999998</v>
          </cell>
        </row>
        <row r="37">
          <cell r="D37">
            <v>-142.43983000000003</v>
          </cell>
        </row>
        <row r="38">
          <cell r="D38">
            <v>-548.734</v>
          </cell>
        </row>
        <row r="44">
          <cell r="D44">
            <v>77.30926999999998</v>
          </cell>
        </row>
        <row r="45">
          <cell r="D45">
            <v>-1538.9448</v>
          </cell>
        </row>
        <row r="51">
          <cell r="D51">
            <v>1978</v>
          </cell>
        </row>
        <row r="52">
          <cell r="D52">
            <v>-13394</v>
          </cell>
        </row>
        <row r="53">
          <cell r="D53">
            <v>-90.39</v>
          </cell>
        </row>
        <row r="54">
          <cell r="D54">
            <v>-567.748</v>
          </cell>
        </row>
        <row r="62">
          <cell r="D62">
            <v>35288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-BS"/>
      <sheetName val="CONSOL-IS"/>
      <sheetName val="CONSOL-CF"/>
    </sheetNames>
    <sheetDataSet>
      <sheetData sheetId="0">
        <row r="12">
          <cell r="U12">
            <v>52625613.160000004</v>
          </cell>
        </row>
        <row r="19">
          <cell r="U19">
            <v>6027729.6304</v>
          </cell>
        </row>
        <row r="23">
          <cell r="U23">
            <v>3755629.71</v>
          </cell>
        </row>
        <row r="27">
          <cell r="U27">
            <v>23763991.060000002</v>
          </cell>
        </row>
        <row r="28">
          <cell r="U28">
            <v>92557826.00999999</v>
          </cell>
        </row>
        <row r="29">
          <cell r="U29">
            <v>1622275.0099999995</v>
          </cell>
        </row>
        <row r="33">
          <cell r="U33">
            <v>2001511.8400000003</v>
          </cell>
        </row>
        <row r="34">
          <cell r="U34">
            <v>414458.32999999996</v>
          </cell>
        </row>
        <row r="43">
          <cell r="U43">
            <v>8409133.62</v>
          </cell>
        </row>
        <row r="44">
          <cell r="U44">
            <v>9778060.21</v>
          </cell>
        </row>
        <row r="49">
          <cell r="U49">
            <v>36221620.94</v>
          </cell>
        </row>
        <row r="50">
          <cell r="U50">
            <v>3984043.3000000003</v>
          </cell>
        </row>
        <row r="52">
          <cell r="U52">
            <v>485754.47</v>
          </cell>
        </row>
        <row r="59">
          <cell r="U59">
            <v>21881</v>
          </cell>
        </row>
        <row r="61">
          <cell r="U61">
            <v>24900127.25</v>
          </cell>
        </row>
        <row r="62">
          <cell r="U62">
            <v>-20557.440000000002</v>
          </cell>
        </row>
        <row r="71">
          <cell r="U71">
            <v>78000000</v>
          </cell>
        </row>
        <row r="75">
          <cell r="U75">
            <v>4689242.56</v>
          </cell>
        </row>
        <row r="79">
          <cell r="U79">
            <v>303423</v>
          </cell>
        </row>
        <row r="81">
          <cell r="U81">
            <v>42115113.9979358</v>
          </cell>
        </row>
        <row r="85">
          <cell r="U85">
            <v>7357579.39096422</v>
          </cell>
        </row>
        <row r="91">
          <cell r="U91">
            <v>2898000</v>
          </cell>
        </row>
      </sheetData>
      <sheetData sheetId="1">
        <row r="9">
          <cell r="U9">
            <v>65458781.379999995</v>
          </cell>
        </row>
        <row r="26">
          <cell r="U26">
            <v>239912.79</v>
          </cell>
        </row>
        <row r="42">
          <cell r="U42">
            <v>479740.85000000003</v>
          </cell>
        </row>
        <row r="44">
          <cell r="U44">
            <v>0</v>
          </cell>
        </row>
        <row r="46">
          <cell r="U46">
            <v>1080806.82</v>
          </cell>
        </row>
        <row r="49">
          <cell r="U49">
            <v>6751985.648500013</v>
          </cell>
        </row>
        <row r="57">
          <cell r="U57">
            <v>-1883686.6896000002</v>
          </cell>
        </row>
        <row r="61">
          <cell r="U61">
            <v>-619271.3909642205</v>
          </cell>
        </row>
      </sheetData>
      <sheetData sheetId="2">
        <row r="10">
          <cell r="Y10">
            <v>6752117.648500012</v>
          </cell>
        </row>
        <row r="14">
          <cell r="Y14">
            <v>1005140.9900000001</v>
          </cell>
        </row>
        <row r="16">
          <cell r="Y16">
            <v>-4177</v>
          </cell>
        </row>
        <row r="18">
          <cell r="Y18">
            <v>2390</v>
          </cell>
        </row>
        <row r="19">
          <cell r="Y19">
            <v>237968.69000000003</v>
          </cell>
        </row>
        <row r="22">
          <cell r="Y22">
            <v>-1080806.82</v>
          </cell>
        </row>
        <row r="23">
          <cell r="Y23">
            <v>-27620.940000000002</v>
          </cell>
        </row>
        <row r="33">
          <cell r="Y33">
            <v>-1930411.0599999996</v>
          </cell>
        </row>
        <row r="34">
          <cell r="Y34">
            <v>-18833073.009999998</v>
          </cell>
        </row>
        <row r="35">
          <cell r="Y35">
            <v>-693330.0099999995</v>
          </cell>
        </row>
        <row r="36">
          <cell r="Y36">
            <v>12438350.94</v>
          </cell>
        </row>
        <row r="37">
          <cell r="Y37">
            <v>-167750.33</v>
          </cell>
        </row>
        <row r="40">
          <cell r="Y40">
            <v>-1020471.6999999997</v>
          </cell>
        </row>
        <row r="44">
          <cell r="Y44">
            <v>-184213.54</v>
          </cell>
        </row>
        <row r="45">
          <cell r="Y45">
            <v>-699223</v>
          </cell>
        </row>
        <row r="52">
          <cell r="Y52">
            <v>27620.940000000002</v>
          </cell>
        </row>
        <row r="53">
          <cell r="Y53">
            <v>760000</v>
          </cell>
        </row>
        <row r="55">
          <cell r="Y55">
            <v>11875</v>
          </cell>
        </row>
        <row r="57">
          <cell r="Y57">
            <v>-883114</v>
          </cell>
        </row>
        <row r="68">
          <cell r="Y68">
            <v>7054562</v>
          </cell>
        </row>
        <row r="69">
          <cell r="Y69">
            <v>-9479</v>
          </cell>
        </row>
        <row r="75">
          <cell r="Y75">
            <v>59931.46999999997</v>
          </cell>
        </row>
        <row r="80">
          <cell r="Y80">
            <v>-3900000</v>
          </cell>
        </row>
        <row r="84">
          <cell r="Y84">
            <v>-605972</v>
          </cell>
        </row>
        <row r="85">
          <cell r="Y85">
            <v>-2730</v>
          </cell>
        </row>
        <row r="86">
          <cell r="Y86">
            <v>-44275.53</v>
          </cell>
        </row>
        <row r="96">
          <cell r="Y96">
            <v>19156658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46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8.75">
      <c r="A1" s="78" t="s">
        <v>115</v>
      </c>
      <c r="B1" s="78"/>
      <c r="C1" s="78"/>
      <c r="D1" s="78"/>
      <c r="E1" s="78"/>
      <c r="F1" s="78"/>
      <c r="G1" s="78"/>
      <c r="H1" s="5"/>
    </row>
    <row r="2" spans="1:8" ht="11.25" customHeight="1">
      <c r="A2" s="79"/>
      <c r="B2" s="79"/>
      <c r="C2" s="79"/>
      <c r="D2" s="79"/>
      <c r="E2" s="79"/>
      <c r="F2" s="79"/>
      <c r="G2" s="79"/>
      <c r="H2" s="5"/>
    </row>
    <row r="3" spans="1:8" ht="11.25" customHeight="1">
      <c r="A3" s="79"/>
      <c r="B3" s="79"/>
      <c r="C3" s="79"/>
      <c r="D3" s="79"/>
      <c r="E3" s="79"/>
      <c r="F3" s="79"/>
      <c r="G3" s="79"/>
      <c r="H3" s="5"/>
    </row>
    <row r="4" spans="1:8" ht="11.25" customHeight="1">
      <c r="A4" s="79"/>
      <c r="B4" s="79"/>
      <c r="C4" s="79"/>
      <c r="D4" s="79"/>
      <c r="E4" s="79"/>
      <c r="F4" s="79"/>
      <c r="G4" s="79"/>
      <c r="H4" s="5"/>
    </row>
    <row r="5" ht="11.25" customHeight="1">
      <c r="H5" s="5"/>
    </row>
    <row r="6" spans="1:8" ht="14.25">
      <c r="A6" s="36" t="s">
        <v>0</v>
      </c>
      <c r="H6" s="5"/>
    </row>
    <row r="7" spans="1:8" ht="12.75">
      <c r="A7" s="37" t="s">
        <v>1</v>
      </c>
      <c r="H7" s="5"/>
    </row>
    <row r="8" ht="12.75">
      <c r="H8" s="5"/>
    </row>
    <row r="9" spans="1:8" ht="12.75">
      <c r="A9" s="19" t="s">
        <v>2</v>
      </c>
      <c r="H9" s="5"/>
    </row>
    <row r="10" spans="2:8" s="55" customFormat="1" ht="12.75">
      <c r="B10" s="60"/>
      <c r="D10" s="61" t="s">
        <v>3</v>
      </c>
      <c r="E10" s="61"/>
      <c r="F10" s="76" t="s">
        <v>4</v>
      </c>
      <c r="H10" s="62"/>
    </row>
    <row r="11" spans="4:8" s="55" customFormat="1" ht="12.75">
      <c r="D11" s="61" t="s">
        <v>5</v>
      </c>
      <c r="E11" s="61"/>
      <c r="F11" s="61" t="s">
        <v>5</v>
      </c>
      <c r="G11" s="60"/>
      <c r="H11" s="63"/>
    </row>
    <row r="12" spans="2:8" ht="12.75">
      <c r="B12" s="1"/>
      <c r="H12" s="5"/>
    </row>
    <row r="13" spans="2:8" ht="12.75">
      <c r="B13" s="2" t="s">
        <v>6</v>
      </c>
      <c r="D13" s="46">
        <f>+'[2]CONSOL-BS'!$U$12/1000</f>
        <v>52625.61316</v>
      </c>
      <c r="F13" s="3">
        <v>52762</v>
      </c>
      <c r="H13" s="5"/>
    </row>
    <row r="14" spans="2:8" ht="12.75">
      <c r="B14" s="13" t="s">
        <v>7</v>
      </c>
      <c r="D14" s="46">
        <f>+'[2]CONSOL-BS'!$U$19/1000</f>
        <v>6027.7296304</v>
      </c>
      <c r="F14" s="3">
        <v>6011</v>
      </c>
      <c r="H14" s="5"/>
    </row>
    <row r="15" spans="2:8" ht="12.75">
      <c r="B15" s="13" t="s">
        <v>8</v>
      </c>
      <c r="D15" s="46">
        <f>+'[2]CONSOL-BS'!$U$23/1000</f>
        <v>3755.62971</v>
      </c>
      <c r="F15" s="3">
        <f>+'[1]balance sheet'!$D$19</f>
        <v>3755.62971</v>
      </c>
      <c r="H15" s="5"/>
    </row>
    <row r="16" ht="9.75" customHeight="1">
      <c r="H16" s="5"/>
    </row>
    <row r="17" spans="2:8" ht="12.75">
      <c r="B17" s="2" t="s">
        <v>9</v>
      </c>
      <c r="H17" s="5"/>
    </row>
    <row r="18" spans="2:8" ht="12.75">
      <c r="B18" s="2" t="s">
        <v>10</v>
      </c>
      <c r="D18" s="47">
        <f>+'[2]CONSOL-BS'!$U$27/1000</f>
        <v>23763.991060000004</v>
      </c>
      <c r="E18" s="5"/>
      <c r="F18" s="7">
        <v>21833</v>
      </c>
      <c r="H18" s="5"/>
    </row>
    <row r="19" spans="2:8" ht="12.75">
      <c r="B19" s="2" t="s">
        <v>11</v>
      </c>
      <c r="D19" s="48">
        <f>+'[2]CONSOL-BS'!$U$28/1000</f>
        <v>92557.82600999999</v>
      </c>
      <c r="E19" s="5"/>
      <c r="F19" s="8">
        <v>68498</v>
      </c>
      <c r="H19" s="5"/>
    </row>
    <row r="20" spans="2:8" ht="12.75">
      <c r="B20" s="2" t="s">
        <v>12</v>
      </c>
      <c r="D20" s="48">
        <f>+'[2]CONSOL-BS'!$U$29/1000</f>
        <v>1622.2750099999996</v>
      </c>
      <c r="E20" s="5"/>
      <c r="F20" s="8">
        <v>1321</v>
      </c>
      <c r="H20" s="5"/>
    </row>
    <row r="21" spans="2:8" ht="12.75">
      <c r="B21" s="13" t="s">
        <v>13</v>
      </c>
      <c r="D21" s="48">
        <f>+'[2]CONSOL-BS'!$U$34/1000</f>
        <v>414.45832999999993</v>
      </c>
      <c r="E21" s="5"/>
      <c r="F21" s="8">
        <v>4291</v>
      </c>
      <c r="H21" s="5"/>
    </row>
    <row r="22" spans="2:8" ht="12.75">
      <c r="B22" s="2" t="s">
        <v>14</v>
      </c>
      <c r="D22" s="48">
        <f>+'[2]CONSOL-BS'!$U$33/1000-'[2]CONSOL-BS'!$U$62/1000</f>
        <v>2022.0692800000004</v>
      </c>
      <c r="E22" s="5"/>
      <c r="F22" s="8">
        <v>2903</v>
      </c>
      <c r="H22" s="5"/>
    </row>
    <row r="23" spans="2:8" ht="12.75">
      <c r="B23" s="2" t="s">
        <v>15</v>
      </c>
      <c r="D23" s="48">
        <f>+'[2]CONSOL-BS'!$U$43/1000</f>
        <v>8409.133619999999</v>
      </c>
      <c r="E23" s="5"/>
      <c r="F23" s="8">
        <v>8009</v>
      </c>
      <c r="H23" s="5"/>
    </row>
    <row r="24" spans="2:8" ht="12.75">
      <c r="B24" s="2" t="s">
        <v>16</v>
      </c>
      <c r="D24" s="49">
        <f>+'[2]CONSOL-BS'!$U$44/1000</f>
        <v>9778.060210000001</v>
      </c>
      <c r="E24" s="5"/>
      <c r="F24" s="9">
        <v>11594</v>
      </c>
      <c r="H24" s="5"/>
    </row>
    <row r="25" spans="4:8" ht="12.75">
      <c r="D25" s="49">
        <f>SUM(D18:D24)-1</f>
        <v>138566.81351999997</v>
      </c>
      <c r="E25" s="5"/>
      <c r="F25" s="9">
        <f>SUM(F18:F24)</f>
        <v>118449</v>
      </c>
      <c r="H25" s="5"/>
    </row>
    <row r="26" ht="12.75" customHeight="1">
      <c r="H26" s="5"/>
    </row>
    <row r="27" spans="2:8" ht="12.75">
      <c r="B27" s="2" t="s">
        <v>17</v>
      </c>
      <c r="E27" s="5"/>
      <c r="F27" s="6"/>
      <c r="H27" s="5"/>
    </row>
    <row r="28" spans="2:8" ht="12.75">
      <c r="B28" s="2" t="s">
        <v>18</v>
      </c>
      <c r="D28" s="47">
        <f>+'[2]CONSOL-BS'!$U$49/1000</f>
        <v>36221.62094</v>
      </c>
      <c r="E28" s="5"/>
      <c r="F28" s="7">
        <v>22633</v>
      </c>
      <c r="H28" s="5"/>
    </row>
    <row r="29" spans="2:8" ht="12.75">
      <c r="B29" s="2" t="s">
        <v>19</v>
      </c>
      <c r="D29" s="48">
        <f>+'[2]CONSOL-BS'!$U$50/1000+'[2]CONSOL-BS'!$U$59/1000</f>
        <v>4005.9243</v>
      </c>
      <c r="E29" s="5"/>
      <c r="F29" s="8">
        <v>5006</v>
      </c>
      <c r="H29" s="5"/>
    </row>
    <row r="30" spans="2:8" ht="12.75">
      <c r="B30" s="13" t="s">
        <v>20</v>
      </c>
      <c r="D30" s="48">
        <f>+'[2]CONSOL-BS'!$U$52/1000</f>
        <v>485.75446999999997</v>
      </c>
      <c r="E30" s="5"/>
      <c r="F30" s="8">
        <v>786</v>
      </c>
      <c r="H30" s="5"/>
    </row>
    <row r="31" spans="2:8" ht="12.75">
      <c r="B31" s="2" t="s">
        <v>21</v>
      </c>
      <c r="D31" s="48">
        <f>+'[2]CONSOL-BS'!$U$61/1000</f>
        <v>24900.12725</v>
      </c>
      <c r="E31" s="5"/>
      <c r="F31" s="77">
        <v>17775</v>
      </c>
      <c r="H31" s="5"/>
    </row>
    <row r="32" spans="2:8" ht="12.75">
      <c r="B32" s="2" t="s">
        <v>22</v>
      </c>
      <c r="D32" s="49">
        <v>0</v>
      </c>
      <c r="E32" s="5"/>
      <c r="F32" s="35">
        <v>3900</v>
      </c>
      <c r="H32" s="5"/>
    </row>
    <row r="33" spans="4:8" ht="12.75">
      <c r="D33" s="49">
        <f>SUM(D28:D31)+1</f>
        <v>65614.42696</v>
      </c>
      <c r="E33" s="5"/>
      <c r="F33" s="9">
        <f>SUM(F28:F32)</f>
        <v>50100</v>
      </c>
      <c r="H33" s="5"/>
    </row>
    <row r="34" ht="3.75" customHeight="1">
      <c r="H34" s="5"/>
    </row>
    <row r="35" spans="2:8" ht="15" customHeight="1">
      <c r="B35" s="2" t="s">
        <v>23</v>
      </c>
      <c r="D35" s="50">
        <f>+D25-D33+0.5</f>
        <v>72952.88655999997</v>
      </c>
      <c r="E35" s="5"/>
      <c r="F35" s="6">
        <f>+F25-F33</f>
        <v>68349</v>
      </c>
      <c r="H35" s="5"/>
    </row>
    <row r="36" spans="4:8" ht="15" customHeight="1" thickBot="1">
      <c r="D36" s="51">
        <f>+D35+D13+D14+D15+1</f>
        <v>135362.85906039996</v>
      </c>
      <c r="E36" s="5"/>
      <c r="F36" s="10">
        <f>+F35+F13+F14+F15</f>
        <v>130877.62971</v>
      </c>
      <c r="H36" s="5"/>
    </row>
    <row r="37" ht="13.5" thickTop="1">
      <c r="H37" s="5"/>
    </row>
    <row r="38" ht="0.75" customHeight="1">
      <c r="H38" s="5"/>
    </row>
    <row r="39" spans="2:8" ht="12.75">
      <c r="B39" s="1" t="s">
        <v>24</v>
      </c>
      <c r="H39" s="5"/>
    </row>
    <row r="40" spans="2:8" ht="12.75">
      <c r="B40" s="2" t="s">
        <v>25</v>
      </c>
      <c r="D40" s="46">
        <f>+'[2]CONSOL-BS'!$U$71/1000</f>
        <v>78000</v>
      </c>
      <c r="E40" s="5"/>
      <c r="F40" s="3">
        <f>+'[1]balance sheet'!$D$44</f>
        <v>77999.9996</v>
      </c>
      <c r="H40" s="5"/>
    </row>
    <row r="41" spans="5:8" ht="7.5" customHeight="1">
      <c r="E41" s="5"/>
      <c r="H41" s="5"/>
    </row>
    <row r="42" spans="2:8" ht="12.75">
      <c r="B42" s="2" t="s">
        <v>26</v>
      </c>
      <c r="D42" s="47"/>
      <c r="E42" s="5"/>
      <c r="F42" s="7"/>
      <c r="H42" s="5"/>
    </row>
    <row r="43" spans="2:8" ht="12.75">
      <c r="B43" s="13" t="s">
        <v>27</v>
      </c>
      <c r="D43" s="48">
        <f>+'[2]CONSOL-BS'!$U$81/1000</f>
        <v>42115.113997935805</v>
      </c>
      <c r="E43" s="5"/>
      <c r="F43" s="8">
        <v>37866</v>
      </c>
      <c r="H43" s="5"/>
    </row>
    <row r="44" spans="2:8" ht="12.75">
      <c r="B44" s="2" t="s">
        <v>28</v>
      </c>
      <c r="D44" s="48">
        <f>+'[2]CONSOL-BS'!$U$75/1000</f>
        <v>4689.24256</v>
      </c>
      <c r="E44" s="5"/>
      <c r="F44" s="8">
        <v>4689</v>
      </c>
      <c r="H44" s="5"/>
    </row>
    <row r="45" spans="2:8" ht="12.75">
      <c r="B45" s="13" t="s">
        <v>29</v>
      </c>
      <c r="D45" s="49">
        <f>+'[2]CONSOL-BS'!$U$79/1000</f>
        <v>303.423</v>
      </c>
      <c r="E45" s="5"/>
      <c r="F45" s="9">
        <v>307</v>
      </c>
      <c r="H45" s="5"/>
    </row>
    <row r="46" spans="4:8" ht="12.75">
      <c r="D46" s="52">
        <f>SUM(D43:D45)-1</f>
        <v>47106.779557935806</v>
      </c>
      <c r="E46" s="5"/>
      <c r="F46" s="34">
        <f>SUM(F43:F45)</f>
        <v>42862</v>
      </c>
      <c r="H46" s="5"/>
    </row>
    <row r="47" spans="2:8" ht="15" customHeight="1">
      <c r="B47" s="13" t="s">
        <v>30</v>
      </c>
      <c r="D47" s="53">
        <f>+D46+D40</f>
        <v>125106.7795579358</v>
      </c>
      <c r="E47" s="5"/>
      <c r="F47" s="5">
        <f>+F46+F40</f>
        <v>120861.9996</v>
      </c>
      <c r="H47" s="5"/>
    </row>
    <row r="48" spans="2:8" ht="15" customHeight="1">
      <c r="B48" s="15" t="s">
        <v>31</v>
      </c>
      <c r="D48" s="46">
        <f>+'[2]CONSOL-BS'!$U$85/1000</f>
        <v>7357.579390964221</v>
      </c>
      <c r="E48" s="5"/>
      <c r="F48" s="5">
        <v>6738</v>
      </c>
      <c r="H48" s="5"/>
    </row>
    <row r="49" spans="2:8" ht="12.75">
      <c r="B49" s="2" t="s">
        <v>32</v>
      </c>
      <c r="H49" s="5"/>
    </row>
    <row r="50" spans="2:8" ht="12.75">
      <c r="B50" s="2" t="s">
        <v>33</v>
      </c>
      <c r="D50" s="46">
        <v>0</v>
      </c>
      <c r="F50" s="18">
        <v>380</v>
      </c>
      <c r="H50" s="5"/>
    </row>
    <row r="51" spans="2:8" ht="12.75">
      <c r="B51" s="2" t="s">
        <v>34</v>
      </c>
      <c r="D51" s="46">
        <f>+'[2]CONSOL-BS'!$U$91/1000</f>
        <v>2898</v>
      </c>
      <c r="F51" s="3">
        <v>2898</v>
      </c>
      <c r="H51" s="5"/>
    </row>
    <row r="52" spans="4:8" ht="13.5" thickBot="1">
      <c r="D52" s="51">
        <f>SUM(D47:D51)+1</f>
        <v>135363.35894890002</v>
      </c>
      <c r="E52" s="5"/>
      <c r="F52" s="10">
        <f>SUM(F47:F51)</f>
        <v>130877.9996</v>
      </c>
      <c r="H52" s="5"/>
    </row>
    <row r="53" ht="8.25" customHeight="1" thickTop="1">
      <c r="H53" s="5"/>
    </row>
    <row r="54" spans="2:8" ht="12.75">
      <c r="B54" s="2" t="s">
        <v>35</v>
      </c>
      <c r="D54" s="54">
        <f>+D47/D40</f>
        <v>1.6039330712555873</v>
      </c>
      <c r="E54" s="11"/>
      <c r="F54" s="11">
        <f>+F47/F40</f>
        <v>1.549512823330835</v>
      </c>
      <c r="H54" s="5"/>
    </row>
    <row r="55" ht="12.75">
      <c r="H55" s="5"/>
    </row>
    <row r="56" spans="2:8" ht="12.75">
      <c r="B56" s="83" t="s">
        <v>36</v>
      </c>
      <c r="H56" s="5"/>
    </row>
    <row r="57" spans="2:8" ht="12.75">
      <c r="B57" s="64" t="s">
        <v>37</v>
      </c>
      <c r="H57" s="5"/>
    </row>
    <row r="58" ht="12.75">
      <c r="D58" s="54"/>
    </row>
    <row r="61" ht="12.75">
      <c r="D61" s="44"/>
    </row>
  </sheetData>
  <printOptions/>
  <pageMargins left="1.3" right="0.5" top="0.88" bottom="0.5" header="0.25" footer="0.25"/>
  <pageSetup horizontalDpi="180" verticalDpi="180" orientation="portrait" paperSize="9" scale="95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1"/>
  <sheetViews>
    <sheetView workbookViewId="0" topLeftCell="A1">
      <selection activeCell="A2" sqref="A2"/>
    </sheetView>
  </sheetViews>
  <sheetFormatPr defaultColWidth="9.140625" defaultRowHeight="12.75"/>
  <cols>
    <col min="1" max="1" width="3.00390625" style="2" customWidth="1"/>
    <col min="2" max="2" width="36.140625" style="2" customWidth="1"/>
    <col min="3" max="3" width="0.5625" style="2" customWidth="1"/>
    <col min="4" max="4" width="12.7109375" style="18" customWidth="1"/>
    <col min="5" max="5" width="0.85546875" style="17" customWidth="1"/>
    <col min="6" max="6" width="12.7109375" style="18" customWidth="1"/>
    <col min="7" max="7" width="0.85546875" style="17" customWidth="1"/>
    <col min="8" max="8" width="12.7109375" style="17" customWidth="1"/>
    <col min="9" max="9" width="0.85546875" style="17" customWidth="1"/>
    <col min="10" max="10" width="12.7109375" style="18" customWidth="1"/>
    <col min="11" max="11" width="0.85546875" style="2" customWidth="1"/>
    <col min="12" max="16384" width="9.140625" style="2" customWidth="1"/>
  </cols>
  <sheetData>
    <row r="1" spans="1:10" ht="18.75">
      <c r="A1" s="78" t="s">
        <v>115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ht="12.75">
      <c r="A2" s="79"/>
      <c r="B2" s="82"/>
      <c r="C2" s="82"/>
      <c r="D2" s="82"/>
      <c r="E2" s="82"/>
      <c r="F2" s="82"/>
      <c r="G2" s="82"/>
      <c r="H2" s="82"/>
      <c r="I2" s="82"/>
      <c r="J2" s="82"/>
    </row>
    <row r="4" ht="14.25">
      <c r="A4" s="36" t="s">
        <v>0</v>
      </c>
    </row>
    <row r="5" ht="12.75">
      <c r="A5" s="37" t="s">
        <v>1</v>
      </c>
    </row>
    <row r="6" spans="4:8" ht="12.75">
      <c r="D6" s="29"/>
      <c r="H6" s="20"/>
    </row>
    <row r="7" spans="1:8" ht="12.75">
      <c r="A7" s="19" t="s">
        <v>38</v>
      </c>
      <c r="D7" s="29"/>
      <c r="H7" s="20"/>
    </row>
    <row r="8" spans="4:8" ht="12.75">
      <c r="D8" s="29"/>
      <c r="F8" s="2"/>
      <c r="H8" s="20"/>
    </row>
    <row r="9" spans="4:10" ht="12.75">
      <c r="D9" s="85" t="s">
        <v>39</v>
      </c>
      <c r="E9" s="84"/>
      <c r="F9" s="84"/>
      <c r="G9" s="30"/>
      <c r="H9" s="80" t="s">
        <v>40</v>
      </c>
      <c r="I9" s="80"/>
      <c r="J9" s="80"/>
    </row>
    <row r="10" spans="4:10" s="55" customFormat="1" ht="12.75">
      <c r="D10" s="56" t="s">
        <v>41</v>
      </c>
      <c r="E10" s="57"/>
      <c r="F10" s="56" t="s">
        <v>42</v>
      </c>
      <c r="G10" s="57"/>
      <c r="H10" s="57" t="s">
        <v>41</v>
      </c>
      <c r="I10" s="57"/>
      <c r="J10" s="56" t="s">
        <v>42</v>
      </c>
    </row>
    <row r="11" spans="4:10" s="55" customFormat="1" ht="12.75">
      <c r="D11" s="56" t="s">
        <v>43</v>
      </c>
      <c r="E11" s="57"/>
      <c r="F11" s="56" t="s">
        <v>44</v>
      </c>
      <c r="G11" s="57"/>
      <c r="H11" s="57" t="s">
        <v>43</v>
      </c>
      <c r="I11" s="57"/>
      <c r="J11" s="56" t="s">
        <v>45</v>
      </c>
    </row>
    <row r="12" spans="4:10" s="55" customFormat="1" ht="12.75">
      <c r="D12" s="56" t="s">
        <v>46</v>
      </c>
      <c r="E12" s="57"/>
      <c r="F12" s="56" t="s">
        <v>46</v>
      </c>
      <c r="G12" s="57"/>
      <c r="H12" s="57" t="s">
        <v>47</v>
      </c>
      <c r="I12" s="57"/>
      <c r="J12" s="56" t="s">
        <v>48</v>
      </c>
    </row>
    <row r="13" spans="4:10" ht="12.75">
      <c r="D13" s="22"/>
      <c r="E13" s="21"/>
      <c r="F13" s="22"/>
      <c r="G13" s="21"/>
      <c r="H13" s="21"/>
      <c r="I13" s="21"/>
      <c r="J13" s="22"/>
    </row>
    <row r="14" spans="4:10" s="55" customFormat="1" ht="12.75">
      <c r="D14" s="56" t="s">
        <v>3</v>
      </c>
      <c r="E14" s="57"/>
      <c r="F14" s="56" t="s">
        <v>49</v>
      </c>
      <c r="G14" s="57"/>
      <c r="H14" s="57" t="s">
        <v>3</v>
      </c>
      <c r="I14" s="57"/>
      <c r="J14" s="56" t="s">
        <v>49</v>
      </c>
    </row>
    <row r="15" spans="4:10" s="55" customFormat="1" ht="12.75">
      <c r="D15" s="56" t="s">
        <v>5</v>
      </c>
      <c r="E15" s="57"/>
      <c r="F15" s="56" t="s">
        <v>5</v>
      </c>
      <c r="G15" s="57"/>
      <c r="H15" s="56" t="s">
        <v>5</v>
      </c>
      <c r="I15" s="57"/>
      <c r="J15" s="56" t="s">
        <v>5</v>
      </c>
    </row>
    <row r="16" spans="4:10" ht="12.75">
      <c r="D16" s="31"/>
      <c r="E16" s="23"/>
      <c r="F16" s="31"/>
      <c r="G16" s="23"/>
      <c r="H16" s="23"/>
      <c r="I16" s="23"/>
      <c r="J16" s="31"/>
    </row>
    <row r="17" spans="2:10" ht="12.75">
      <c r="B17" s="2" t="s">
        <v>50</v>
      </c>
      <c r="D17" s="38">
        <f>+'[2]CONSOL-IS'!$U$9/1000</f>
        <v>65458.78137999999</v>
      </c>
      <c r="E17" s="32"/>
      <c r="F17" s="24">
        <f>+'[1]income stat'!$D$15</f>
        <v>53702.979</v>
      </c>
      <c r="G17" s="32"/>
      <c r="H17" s="38">
        <f>+D17</f>
        <v>65458.78137999999</v>
      </c>
      <c r="I17" s="32"/>
      <c r="J17" s="24">
        <f>+F17</f>
        <v>53702.979</v>
      </c>
    </row>
    <row r="18" spans="4:10" ht="12.75">
      <c r="D18" s="39"/>
      <c r="E18" s="28"/>
      <c r="F18" s="25"/>
      <c r="G18" s="28"/>
      <c r="H18" s="39"/>
      <c r="I18" s="28"/>
      <c r="J18" s="25"/>
    </row>
    <row r="19" spans="2:10" ht="12.75">
      <c r="B19" s="2" t="s">
        <v>51</v>
      </c>
      <c r="D19" s="40">
        <f>+D23-D21-D17</f>
        <v>-60027.93061149998</v>
      </c>
      <c r="E19" s="28"/>
      <c r="F19" s="33">
        <f>+'[1]income stat'!$D$17</f>
        <v>-50106.22687</v>
      </c>
      <c r="G19" s="28"/>
      <c r="H19" s="40">
        <f>+D19</f>
        <v>-60027.93061149998</v>
      </c>
      <c r="I19" s="28"/>
      <c r="J19" s="33">
        <f>+F19</f>
        <v>-50106.22687</v>
      </c>
    </row>
    <row r="20" spans="4:10" ht="12.75">
      <c r="D20" s="40"/>
      <c r="E20" s="28"/>
      <c r="F20" s="33"/>
      <c r="G20" s="28"/>
      <c r="H20" s="38"/>
      <c r="I20" s="28"/>
      <c r="J20" s="33"/>
    </row>
    <row r="21" spans="1:10" ht="12.75">
      <c r="A21" s="4"/>
      <c r="B21" s="2" t="s">
        <v>52</v>
      </c>
      <c r="D21" s="41">
        <f>+'[2]CONSOL-IS'!$U$42/1000</f>
        <v>479.74085</v>
      </c>
      <c r="E21" s="28"/>
      <c r="F21" s="26">
        <f>+'[1]income stat'!$D$19</f>
        <v>311.27833000000004</v>
      </c>
      <c r="G21" s="28"/>
      <c r="H21" s="43">
        <f>+D21</f>
        <v>479.74085</v>
      </c>
      <c r="I21" s="28"/>
      <c r="J21" s="26">
        <f>+F21</f>
        <v>311.27833000000004</v>
      </c>
    </row>
    <row r="22" spans="2:10" ht="12.75">
      <c r="B22" s="2" t="s">
        <v>53</v>
      </c>
      <c r="D22" s="39"/>
      <c r="F22" s="25"/>
      <c r="H22" s="44"/>
      <c r="J22" s="25"/>
    </row>
    <row r="23" spans="2:10" ht="12.75">
      <c r="B23" s="13" t="s">
        <v>54</v>
      </c>
      <c r="D23" s="39">
        <f>+D31-D25-D27-D29-0.5</f>
        <v>5910.591618500013</v>
      </c>
      <c r="F23" s="25">
        <f>+F31-F25-F27-F29</f>
        <v>3907.684489999994</v>
      </c>
      <c r="H23" s="39">
        <f>+H31-H25-H27-H29-0.5</f>
        <v>5910.591618500013</v>
      </c>
      <c r="J23" s="25">
        <f>+J31-J25-J27-J29</f>
        <v>3907.684489999994</v>
      </c>
    </row>
    <row r="24" spans="4:10" ht="12.75">
      <c r="D24" s="39"/>
      <c r="F24" s="25"/>
      <c r="H24" s="44"/>
      <c r="J24" s="25"/>
    </row>
    <row r="25" spans="2:59" ht="12.75">
      <c r="B25" s="13" t="s">
        <v>55</v>
      </c>
      <c r="D25" s="39">
        <f>-'[2]CONSOL-IS'!$U$26/1000</f>
        <v>-239.91279</v>
      </c>
      <c r="E25" s="28"/>
      <c r="F25" s="25">
        <f>+'[1]income stat'!$D$23</f>
        <v>-242.89577999999997</v>
      </c>
      <c r="G25" s="28"/>
      <c r="H25" s="38">
        <f>+D25</f>
        <v>-239.91279</v>
      </c>
      <c r="I25" s="28"/>
      <c r="J25" s="25">
        <f>+F25</f>
        <v>-242.89577999999997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4:59" ht="12.75">
      <c r="D26" s="39"/>
      <c r="E26" s="28"/>
      <c r="F26" s="25"/>
      <c r="G26" s="28"/>
      <c r="H26" s="39"/>
      <c r="I26" s="28"/>
      <c r="J26" s="2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12.75">
      <c r="A27" s="4"/>
      <c r="B27" s="13" t="s">
        <v>56</v>
      </c>
      <c r="D27" s="39">
        <f>+'[2]CONSOL-IS'!$U$44/1000</f>
        <v>0</v>
      </c>
      <c r="E27" s="28"/>
      <c r="F27" s="25">
        <f>+'[1]income stat'!$D$25</f>
        <v>236.357</v>
      </c>
      <c r="G27" s="28"/>
      <c r="H27" s="38">
        <f>+D27</f>
        <v>0</v>
      </c>
      <c r="I27" s="28"/>
      <c r="J27" s="25">
        <f>+F27</f>
        <v>236.357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4:59" ht="12.75">
      <c r="D28" s="39"/>
      <c r="E28" s="28"/>
      <c r="F28" s="25"/>
      <c r="G28" s="28"/>
      <c r="H28" s="39"/>
      <c r="I28" s="28"/>
      <c r="J28" s="2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2:59" ht="12.75">
      <c r="B29" s="13" t="s">
        <v>57</v>
      </c>
      <c r="D29" s="42">
        <f>+'[2]CONSOL-IS'!$U$46/1000</f>
        <v>1080.80682</v>
      </c>
      <c r="E29" s="28"/>
      <c r="F29" s="26">
        <f>+'[1]income stat'!$D$27</f>
        <v>606.316</v>
      </c>
      <c r="G29" s="28"/>
      <c r="H29" s="43">
        <f>+D29</f>
        <v>1080.80682</v>
      </c>
      <c r="I29" s="28"/>
      <c r="J29" s="26">
        <f>+F29</f>
        <v>606.316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4:59" ht="12.75">
      <c r="D30" s="39"/>
      <c r="E30" s="28"/>
      <c r="F30" s="25"/>
      <c r="G30" s="28"/>
      <c r="H30" s="39"/>
      <c r="I30" s="28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2:59" ht="12.75">
      <c r="B31" s="13" t="s">
        <v>58</v>
      </c>
      <c r="D31" s="39">
        <f>+'[2]CONSOL-IS'!$U$49/1000</f>
        <v>6751.985648500013</v>
      </c>
      <c r="E31" s="28"/>
      <c r="F31" s="25">
        <f>+'[1]income stat'!$D$29</f>
        <v>4507.461709999994</v>
      </c>
      <c r="G31" s="28"/>
      <c r="H31" s="39">
        <f>+D31</f>
        <v>6751.985648500013</v>
      </c>
      <c r="I31" s="28"/>
      <c r="J31" s="25">
        <f>+F31</f>
        <v>4507.461709999994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4:59" ht="12.75">
      <c r="D32" s="39"/>
      <c r="E32" s="28"/>
      <c r="F32" s="25"/>
      <c r="G32" s="28"/>
      <c r="H32" s="38"/>
      <c r="I32" s="28"/>
      <c r="J32" s="2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2:10" ht="12.75">
      <c r="B33" s="2" t="s">
        <v>59</v>
      </c>
      <c r="D33" s="41">
        <f>+'[2]CONSOL-IS'!$U$57/1000</f>
        <v>-1883.6866896000001</v>
      </c>
      <c r="F33" s="26">
        <f>+'[1]income stat'!$D$31</f>
        <v>-1274.869</v>
      </c>
      <c r="H33" s="41">
        <f>+D33</f>
        <v>-1883.6866896000001</v>
      </c>
      <c r="J33" s="26">
        <f>+F33</f>
        <v>-1274.869</v>
      </c>
    </row>
    <row r="34" spans="4:10" ht="12.75">
      <c r="D34" s="39"/>
      <c r="E34" s="28"/>
      <c r="F34" s="25"/>
      <c r="G34" s="28"/>
      <c r="H34" s="38"/>
      <c r="I34" s="28"/>
      <c r="J34" s="25"/>
    </row>
    <row r="35" spans="2:10" ht="12.75">
      <c r="B35" s="13" t="s">
        <v>60</v>
      </c>
      <c r="D35" s="39">
        <f>+D31+D33</f>
        <v>4868.298958900013</v>
      </c>
      <c r="E35" s="28"/>
      <c r="F35" s="25">
        <f>+F31+F33</f>
        <v>3232.5927099999944</v>
      </c>
      <c r="G35" s="28"/>
      <c r="H35" s="39">
        <f>+H31+H33</f>
        <v>4868.298958900013</v>
      </c>
      <c r="I35" s="28"/>
      <c r="J35" s="25">
        <f>+J31+J33</f>
        <v>3232.5927099999944</v>
      </c>
    </row>
    <row r="36" spans="4:10" ht="12.75">
      <c r="D36" s="39"/>
      <c r="E36" s="28"/>
      <c r="F36" s="25"/>
      <c r="G36" s="28"/>
      <c r="H36" s="38"/>
      <c r="I36" s="28"/>
      <c r="J36" s="25"/>
    </row>
    <row r="37" spans="2:10" ht="12.75">
      <c r="B37" s="13" t="s">
        <v>31</v>
      </c>
      <c r="D37" s="41">
        <f>+'[2]CONSOL-IS'!$U$61/1000</f>
        <v>-619.2713909642205</v>
      </c>
      <c r="E37" s="28"/>
      <c r="F37" s="26">
        <f>+'[1]income stat'!$D$35</f>
        <v>88.169</v>
      </c>
      <c r="G37" s="28"/>
      <c r="H37" s="41">
        <f>+D37</f>
        <v>-619.2713909642205</v>
      </c>
      <c r="I37" s="28"/>
      <c r="J37" s="26">
        <f>+F37</f>
        <v>88.169</v>
      </c>
    </row>
    <row r="38" spans="4:10" ht="12.75">
      <c r="D38" s="39"/>
      <c r="E38" s="28"/>
      <c r="F38" s="25"/>
      <c r="G38" s="28"/>
      <c r="H38" s="39"/>
      <c r="I38" s="28"/>
      <c r="J38" s="25"/>
    </row>
    <row r="39" spans="1:10" ht="13.5" thickBot="1">
      <c r="A39" s="13"/>
      <c r="B39" s="13" t="s">
        <v>61</v>
      </c>
      <c r="D39" s="67">
        <f>+D35+D37</f>
        <v>4249.027567935792</v>
      </c>
      <c r="E39" s="28"/>
      <c r="F39" s="68">
        <f>+F35+F37</f>
        <v>3320.7617099999943</v>
      </c>
      <c r="G39" s="28"/>
      <c r="H39" s="69">
        <f>+H35+H37</f>
        <v>4249.027567935792</v>
      </c>
      <c r="I39" s="28"/>
      <c r="J39" s="68">
        <f>+J35+J37</f>
        <v>3320.7617099999943</v>
      </c>
    </row>
    <row r="40" spans="4:10" ht="12.75">
      <c r="D40" s="39"/>
      <c r="E40" s="28"/>
      <c r="F40" s="25"/>
      <c r="G40" s="28"/>
      <c r="H40" s="39"/>
      <c r="I40" s="28"/>
      <c r="J40" s="25"/>
    </row>
    <row r="41" spans="2:10" ht="12.75">
      <c r="B41" s="2" t="s">
        <v>62</v>
      </c>
      <c r="D41" s="39"/>
      <c r="E41" s="28"/>
      <c r="F41" s="25"/>
      <c r="G41" s="28"/>
      <c r="H41" s="39"/>
      <c r="I41" s="28"/>
      <c r="J41" s="25" t="s">
        <v>63</v>
      </c>
    </row>
    <row r="42" spans="2:10" ht="13.5" thickBot="1">
      <c r="B42" s="15" t="s">
        <v>64</v>
      </c>
      <c r="D42" s="45">
        <f>+D39/78000*100</f>
        <v>5.447471240943323</v>
      </c>
      <c r="E42" s="28"/>
      <c r="F42" s="27">
        <f>+F39/78000*100</f>
        <v>4.2573868076923</v>
      </c>
      <c r="G42" s="28"/>
      <c r="H42" s="45">
        <f>+H39/78000*100</f>
        <v>5.447471240943323</v>
      </c>
      <c r="I42" s="28"/>
      <c r="J42" s="27">
        <f>+J39/78000*100</f>
        <v>4.2573868076923</v>
      </c>
    </row>
    <row r="43" spans="2:10" ht="13.5" thickBot="1">
      <c r="B43" s="15" t="s">
        <v>65</v>
      </c>
      <c r="D43" s="66" t="s">
        <v>66</v>
      </c>
      <c r="E43" s="28"/>
      <c r="F43" s="65" t="s">
        <v>66</v>
      </c>
      <c r="G43" s="28"/>
      <c r="H43" s="66" t="s">
        <v>66</v>
      </c>
      <c r="I43" s="28"/>
      <c r="J43" s="65" t="s">
        <v>66</v>
      </c>
    </row>
    <row r="44" spans="4:10" ht="12.75">
      <c r="D44" s="25"/>
      <c r="E44" s="28"/>
      <c r="F44" s="25"/>
      <c r="G44" s="28"/>
      <c r="H44" s="25"/>
      <c r="I44" s="28"/>
      <c r="J44" s="25"/>
    </row>
    <row r="45" spans="2:10" ht="12.75">
      <c r="B45" s="83" t="s">
        <v>36</v>
      </c>
      <c r="D45" s="25"/>
      <c r="E45" s="28"/>
      <c r="F45" s="25"/>
      <c r="G45" s="28"/>
      <c r="H45" s="25"/>
      <c r="I45" s="28"/>
      <c r="J45" s="25"/>
    </row>
    <row r="46" spans="2:10" ht="12.75">
      <c r="B46" s="64" t="s">
        <v>37</v>
      </c>
      <c r="D46" s="25"/>
      <c r="E46" s="28"/>
      <c r="F46" s="25"/>
      <c r="G46" s="28"/>
      <c r="H46" s="25"/>
      <c r="I46" s="28"/>
      <c r="J46" s="25"/>
    </row>
    <row r="47" spans="4:10" ht="12.75">
      <c r="D47" s="25"/>
      <c r="E47" s="28"/>
      <c r="F47" s="25"/>
      <c r="G47" s="28"/>
      <c r="H47" s="25"/>
      <c r="I47" s="28"/>
      <c r="J47" s="25"/>
    </row>
    <row r="48" spans="4:10" ht="12.75">
      <c r="D48" s="25"/>
      <c r="E48" s="28"/>
      <c r="F48" s="25"/>
      <c r="G48" s="28"/>
      <c r="H48" s="28"/>
      <c r="I48" s="28"/>
      <c r="J48" s="25"/>
    </row>
    <row r="49" spans="4:10" ht="12.75">
      <c r="D49" s="25"/>
      <c r="E49" s="28"/>
      <c r="F49" s="25"/>
      <c r="G49" s="28"/>
      <c r="H49" s="25"/>
      <c r="I49" s="28"/>
      <c r="J49" s="25"/>
    </row>
    <row r="50" spans="4:10" ht="12.75">
      <c r="D50" s="25"/>
      <c r="E50" s="28"/>
      <c r="F50" s="25"/>
      <c r="G50" s="28"/>
      <c r="H50" s="25"/>
      <c r="I50" s="28"/>
      <c r="J50" s="25"/>
    </row>
    <row r="51" spans="4:10" ht="12.75">
      <c r="D51" s="25"/>
      <c r="E51" s="28"/>
      <c r="F51" s="25"/>
      <c r="G51" s="28"/>
      <c r="H51" s="25"/>
      <c r="I51" s="28"/>
      <c r="J51" s="25"/>
    </row>
  </sheetData>
  <printOptions/>
  <pageMargins left="0.81" right="0.41" top="1.5" bottom="0.5" header="0.25" footer="0.25"/>
  <pageSetup fitToHeight="1" fitToWidth="1" horizontalDpi="180" verticalDpi="180" orientation="portrait" paperSize="9" scale="97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2" sqref="A2"/>
    </sheetView>
  </sheetViews>
  <sheetFormatPr defaultColWidth="9.140625" defaultRowHeight="12.75"/>
  <cols>
    <col min="1" max="1" width="2.421875" style="2" customWidth="1"/>
    <col min="2" max="2" width="31.8515625" style="2" customWidth="1"/>
    <col min="3" max="3" width="0.71875" style="2" customWidth="1"/>
    <col min="4" max="4" width="8.421875" style="2" customWidth="1"/>
    <col min="5" max="5" width="0.85546875" style="2" customWidth="1"/>
    <col min="6" max="6" width="8.8515625" style="2" customWidth="1"/>
    <col min="7" max="7" width="0.71875" style="2" customWidth="1"/>
    <col min="8" max="8" width="11.7109375" style="2" customWidth="1"/>
    <col min="9" max="9" width="0.85546875" style="2" customWidth="1"/>
    <col min="10" max="10" width="9.00390625" style="2" customWidth="1"/>
    <col min="11" max="11" width="0.85546875" style="2" customWidth="1"/>
    <col min="12" max="12" width="8.7109375" style="2" hidden="1" customWidth="1"/>
    <col min="13" max="13" width="0.85546875" style="2" hidden="1" customWidth="1"/>
    <col min="14" max="14" width="8.7109375" style="2" customWidth="1"/>
    <col min="15" max="16384" width="9.140625" style="2" customWidth="1"/>
  </cols>
  <sheetData>
    <row r="1" spans="1:14" ht="18.75">
      <c r="A1" s="78" t="s">
        <v>115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12.75">
      <c r="A3" s="12"/>
    </row>
    <row r="4" ht="14.25">
      <c r="A4" s="36" t="s">
        <v>0</v>
      </c>
    </row>
    <row r="5" ht="12.75">
      <c r="A5" s="37" t="s">
        <v>1</v>
      </c>
    </row>
    <row r="7" ht="12.75">
      <c r="A7" s="1" t="s">
        <v>67</v>
      </c>
    </row>
    <row r="9" spans="4:13" s="55" customFormat="1" ht="12.75">
      <c r="D9" s="73" t="s">
        <v>68</v>
      </c>
      <c r="E9" s="60"/>
      <c r="F9" s="60" t="s">
        <v>68</v>
      </c>
      <c r="G9" s="60"/>
      <c r="H9" s="73" t="s">
        <v>69</v>
      </c>
      <c r="I9" s="60"/>
      <c r="J9" s="60" t="s">
        <v>70</v>
      </c>
      <c r="K9" s="60"/>
      <c r="L9" s="60" t="s">
        <v>71</v>
      </c>
      <c r="M9" s="60"/>
    </row>
    <row r="10" spans="4:14" s="55" customFormat="1" ht="12.75">
      <c r="D10" s="60" t="s">
        <v>72</v>
      </c>
      <c r="E10" s="60"/>
      <c r="F10" s="60" t="s">
        <v>73</v>
      </c>
      <c r="G10" s="60"/>
      <c r="H10" s="73" t="s">
        <v>74</v>
      </c>
      <c r="I10" s="60"/>
      <c r="J10" s="60" t="s">
        <v>75</v>
      </c>
      <c r="K10" s="60"/>
      <c r="L10" s="60" t="s">
        <v>76</v>
      </c>
      <c r="M10" s="60"/>
      <c r="N10" s="60" t="s">
        <v>77</v>
      </c>
    </row>
    <row r="11" spans="4:14" s="55" customFormat="1" ht="12.75">
      <c r="D11" s="73" t="s">
        <v>5</v>
      </c>
      <c r="E11" s="60"/>
      <c r="F11" s="73" t="s">
        <v>5</v>
      </c>
      <c r="G11" s="73"/>
      <c r="H11" s="60" t="s">
        <v>5</v>
      </c>
      <c r="I11" s="60"/>
      <c r="J11" s="73" t="s">
        <v>5</v>
      </c>
      <c r="K11" s="60"/>
      <c r="L11" s="60" t="s">
        <v>5</v>
      </c>
      <c r="M11" s="60"/>
      <c r="N11" s="73" t="s">
        <v>5</v>
      </c>
    </row>
    <row r="13" spans="2:14" ht="12.75">
      <c r="B13" s="13" t="s">
        <v>78</v>
      </c>
      <c r="D13" s="46">
        <f>+'[1]s.equity'!$D$19</f>
        <v>78000</v>
      </c>
      <c r="E13" s="46">
        <f aca="true" t="shared" si="0" ref="E13:K13">E35</f>
        <v>0</v>
      </c>
      <c r="F13" s="46">
        <f>+'[1]s.equity'!$F$19</f>
        <v>4689.243</v>
      </c>
      <c r="G13" s="46">
        <f t="shared" si="0"/>
        <v>0</v>
      </c>
      <c r="H13" s="46">
        <v>307</v>
      </c>
      <c r="I13" s="46">
        <f t="shared" si="0"/>
        <v>0</v>
      </c>
      <c r="J13" s="46">
        <v>37866</v>
      </c>
      <c r="K13" s="46">
        <f t="shared" si="0"/>
        <v>0</v>
      </c>
      <c r="L13" s="46">
        <v>0</v>
      </c>
      <c r="M13" s="46"/>
      <c r="N13" s="46">
        <f>SUM(D13:M13)</f>
        <v>120862.243</v>
      </c>
    </row>
    <row r="14" spans="2:14" ht="12.75">
      <c r="B14" s="1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12.75">
      <c r="B15" s="15" t="s">
        <v>79</v>
      </c>
      <c r="D15" s="46">
        <v>0</v>
      </c>
      <c r="E15" s="46"/>
      <c r="F15" s="54">
        <v>0</v>
      </c>
      <c r="G15" s="46"/>
      <c r="H15" s="46">
        <f>+'[1]s.equity'!$H$17</f>
        <v>-4</v>
      </c>
      <c r="I15" s="46"/>
      <c r="J15" s="46">
        <v>0</v>
      </c>
      <c r="K15" s="46"/>
      <c r="L15" s="46">
        <v>0</v>
      </c>
      <c r="M15" s="46"/>
      <c r="N15" s="46">
        <f>SUM(D15:M15)</f>
        <v>-4</v>
      </c>
    </row>
    <row r="16" spans="4:14" ht="12.75"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12.75">
      <c r="B17" s="13" t="s">
        <v>80</v>
      </c>
      <c r="D17" s="46">
        <v>0</v>
      </c>
      <c r="E17" s="46"/>
      <c r="F17" s="46">
        <v>0</v>
      </c>
      <c r="G17" s="46"/>
      <c r="H17" s="46">
        <v>0</v>
      </c>
      <c r="I17" s="46"/>
      <c r="J17" s="44">
        <f>+'income stat'!D39</f>
        <v>4249.027567935792</v>
      </c>
      <c r="K17" s="46"/>
      <c r="L17" s="46">
        <v>0</v>
      </c>
      <c r="M17" s="46"/>
      <c r="N17" s="46">
        <f>SUM(D17:M17)</f>
        <v>4249.027567935792</v>
      </c>
    </row>
    <row r="18" spans="2:14" ht="12.75">
      <c r="B18" s="1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ht="12.75" hidden="1">
      <c r="B19" s="15" t="s">
        <v>81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46"/>
    </row>
    <row r="20" spans="2:14" ht="12.75" hidden="1">
      <c r="B20" s="15" t="s">
        <v>82</v>
      </c>
      <c r="D20" s="46">
        <v>0</v>
      </c>
      <c r="E20" s="46"/>
      <c r="F20" s="46">
        <v>0</v>
      </c>
      <c r="G20" s="46"/>
      <c r="H20" s="46">
        <v>0</v>
      </c>
      <c r="I20" s="46"/>
      <c r="J20" s="46">
        <v>0</v>
      </c>
      <c r="K20" s="46"/>
      <c r="L20" s="46">
        <v>0</v>
      </c>
      <c r="M20" s="46"/>
      <c r="N20" s="46">
        <f>SUM(D20:M20)</f>
        <v>0</v>
      </c>
    </row>
    <row r="21" spans="2:14" ht="12.75" hidden="1">
      <c r="B21" s="13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ht="12.75" hidden="1">
      <c r="B22" s="2" t="s">
        <v>83</v>
      </c>
    </row>
    <row r="23" spans="2:14" ht="15.75" hidden="1">
      <c r="B23" s="2" t="s">
        <v>84</v>
      </c>
      <c r="D23" s="46">
        <v>0</v>
      </c>
      <c r="E23" s="1"/>
      <c r="F23" s="46">
        <v>0</v>
      </c>
      <c r="G23" s="1"/>
      <c r="H23" s="46">
        <v>0</v>
      </c>
      <c r="I23" s="1"/>
      <c r="J23" s="46">
        <v>0</v>
      </c>
      <c r="K23" s="1"/>
      <c r="L23" s="46">
        <v>0</v>
      </c>
      <c r="M23" s="1"/>
      <c r="N23" s="46">
        <f>SUM(D23:M23)</f>
        <v>0</v>
      </c>
    </row>
    <row r="24" spans="4:14" ht="12.75" hidden="1">
      <c r="D24" s="46"/>
      <c r="E24" s="1"/>
      <c r="F24" s="46"/>
      <c r="G24" s="1"/>
      <c r="H24" s="46"/>
      <c r="I24" s="1"/>
      <c r="J24" s="46"/>
      <c r="K24" s="1"/>
      <c r="L24" s="46"/>
      <c r="M24" s="1"/>
      <c r="N24" s="46"/>
    </row>
    <row r="25" spans="2:14" ht="12.75" hidden="1">
      <c r="B25" s="2" t="s">
        <v>85</v>
      </c>
      <c r="D25" s="46"/>
      <c r="E25" s="1"/>
      <c r="F25" s="46"/>
      <c r="G25" s="1"/>
      <c r="H25" s="46"/>
      <c r="I25" s="1"/>
      <c r="J25" s="46"/>
      <c r="K25" s="1"/>
      <c r="L25" s="46"/>
      <c r="M25" s="1"/>
      <c r="N25" s="46"/>
    </row>
    <row r="26" spans="2:14" ht="12.75" hidden="1">
      <c r="B26" s="2" t="s">
        <v>86</v>
      </c>
      <c r="D26" s="46">
        <v>0</v>
      </c>
      <c r="E26" s="1"/>
      <c r="F26" s="46">
        <v>0</v>
      </c>
      <c r="G26" s="1"/>
      <c r="H26" s="46">
        <v>0</v>
      </c>
      <c r="I26" s="1"/>
      <c r="J26" s="46">
        <v>0</v>
      </c>
      <c r="K26" s="1"/>
      <c r="L26" s="46">
        <v>0</v>
      </c>
      <c r="M26" s="1"/>
      <c r="N26" s="46">
        <f>SUM(D26:M26)</f>
        <v>0</v>
      </c>
    </row>
    <row r="27" spans="2:14" ht="13.5" thickBot="1">
      <c r="B27" s="13" t="s">
        <v>87</v>
      </c>
      <c r="D27" s="71">
        <f aca="true" t="shared" si="1" ref="D27:N27">SUM(D13:D26)</f>
        <v>78000</v>
      </c>
      <c r="E27" s="71">
        <f t="shared" si="1"/>
        <v>0</v>
      </c>
      <c r="F27" s="71">
        <f t="shared" si="1"/>
        <v>4689.243</v>
      </c>
      <c r="G27" s="71">
        <f t="shared" si="1"/>
        <v>0</v>
      </c>
      <c r="H27" s="71">
        <f t="shared" si="1"/>
        <v>303</v>
      </c>
      <c r="I27" s="71">
        <f t="shared" si="1"/>
        <v>0</v>
      </c>
      <c r="J27" s="71">
        <f t="shared" si="1"/>
        <v>42115.027567935795</v>
      </c>
      <c r="K27" s="71">
        <f t="shared" si="1"/>
        <v>0</v>
      </c>
      <c r="L27" s="71">
        <f t="shared" si="1"/>
        <v>0</v>
      </c>
      <c r="M27" s="71">
        <f t="shared" si="1"/>
        <v>0</v>
      </c>
      <c r="N27" s="71">
        <f t="shared" si="1"/>
        <v>125107.27056793579</v>
      </c>
    </row>
    <row r="28" spans="4:14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13" t="s">
        <v>88</v>
      </c>
      <c r="D29" s="3">
        <v>78000</v>
      </c>
      <c r="E29" s="3"/>
      <c r="F29" s="3">
        <v>4689</v>
      </c>
      <c r="G29" s="3"/>
      <c r="H29" s="3">
        <v>320</v>
      </c>
      <c r="I29" s="3"/>
      <c r="J29" s="3">
        <v>38340</v>
      </c>
      <c r="K29" s="3"/>
      <c r="L29" s="3">
        <v>0</v>
      </c>
      <c r="M29" s="3"/>
      <c r="N29" s="3">
        <f>SUM(D29:L29)</f>
        <v>121349</v>
      </c>
    </row>
    <row r="30" spans="4:14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.75">
      <c r="B31" s="15" t="s">
        <v>79</v>
      </c>
      <c r="D31" s="3">
        <v>0</v>
      </c>
      <c r="E31" s="3"/>
      <c r="F31" s="3">
        <v>0</v>
      </c>
      <c r="G31" s="3"/>
      <c r="H31" s="3">
        <v>-4</v>
      </c>
      <c r="I31" s="3"/>
      <c r="J31" s="3">
        <v>0</v>
      </c>
      <c r="K31" s="3"/>
      <c r="L31" s="3">
        <v>0</v>
      </c>
      <c r="M31" s="3"/>
      <c r="N31" s="3">
        <f>SUM(D31:L31)</f>
        <v>-4</v>
      </c>
    </row>
    <row r="32" spans="4:14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2.75">
      <c r="B33" s="13" t="s">
        <v>80</v>
      </c>
      <c r="D33" s="3">
        <v>0</v>
      </c>
      <c r="E33" s="3"/>
      <c r="F33" s="3">
        <v>0</v>
      </c>
      <c r="G33" s="3"/>
      <c r="H33" s="3">
        <v>0</v>
      </c>
      <c r="I33" s="3"/>
      <c r="J33" s="3">
        <v>3321</v>
      </c>
      <c r="K33" s="3"/>
      <c r="L33" s="3">
        <v>0</v>
      </c>
      <c r="M33" s="3"/>
      <c r="N33" s="3">
        <f>SUM(D33:L33)</f>
        <v>3321</v>
      </c>
    </row>
    <row r="34" spans="4:14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3.5" thickBot="1">
      <c r="B35" s="13" t="s">
        <v>89</v>
      </c>
      <c r="D35" s="58">
        <f>SUM(D29:D34)</f>
        <v>78000</v>
      </c>
      <c r="E35" s="58">
        <f>SUM(E30:E34)</f>
        <v>0</v>
      </c>
      <c r="F35" s="58">
        <f>SUM(F29:F34)</f>
        <v>4689</v>
      </c>
      <c r="G35" s="58">
        <f>SUM(G30:G34)</f>
        <v>0</v>
      </c>
      <c r="H35" s="58">
        <f>SUM(H29:H34)</f>
        <v>316</v>
      </c>
      <c r="I35" s="58">
        <f>SUM(I30:I34)</f>
        <v>0</v>
      </c>
      <c r="J35" s="58">
        <f>SUM(J29:J34)</f>
        <v>41661</v>
      </c>
      <c r="K35" s="58">
        <f>SUM(K30:K34)</f>
        <v>0</v>
      </c>
      <c r="L35" s="58">
        <f>SUM(L29:L34)</f>
        <v>0</v>
      </c>
      <c r="M35" s="58">
        <f>SUM(M30:M34)</f>
        <v>0</v>
      </c>
      <c r="N35" s="58">
        <f>SUM(N29:N34)</f>
        <v>124666</v>
      </c>
    </row>
    <row r="36" spans="2:14" ht="12.75">
      <c r="B36" s="1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5.75">
      <c r="B37" s="7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4:14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2.75">
      <c r="B39" s="12" t="s">
        <v>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2.75">
      <c r="B40" s="1" t="s">
        <v>37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printOptions horizontalCentered="1"/>
  <pageMargins left="0.25" right="0.25" top="1.25" bottom="0.5" header="0.25" footer="0.25"/>
  <pageSetup fitToHeight="1" fitToWidth="1" horizontalDpi="180" verticalDpi="180" orientation="portrait" paperSize="9" r:id="rId1"/>
  <headerFooter alignWithMargins="0">
    <oddFooter>&amp;C&amp;"Times New Roman,Italic"&amp;8- Page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.140625" style="2" customWidth="1"/>
    <col min="2" max="2" width="46.4218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spans="1:6" ht="18.75">
      <c r="A1" s="78" t="s">
        <v>115</v>
      </c>
      <c r="B1" s="81"/>
      <c r="C1" s="81"/>
      <c r="D1" s="81"/>
      <c r="E1" s="81"/>
      <c r="F1" s="81"/>
    </row>
    <row r="2" spans="1:6" ht="12.75">
      <c r="A2" s="79"/>
      <c r="B2" s="79"/>
      <c r="C2" s="79"/>
      <c r="D2" s="79"/>
      <c r="E2" s="79"/>
      <c r="F2" s="79"/>
    </row>
    <row r="3" spans="1:6" ht="12.75">
      <c r="A3" s="75"/>
      <c r="B3" s="75"/>
      <c r="C3" s="75"/>
      <c r="D3" s="75"/>
      <c r="E3" s="75"/>
      <c r="F3" s="75"/>
    </row>
    <row r="4" ht="14.25">
      <c r="A4" s="36" t="s">
        <v>0</v>
      </c>
    </row>
    <row r="5" ht="12.75">
      <c r="A5" s="37" t="s">
        <v>1</v>
      </c>
    </row>
    <row r="6" ht="12.75">
      <c r="A6" s="12"/>
    </row>
    <row r="7" ht="12.75">
      <c r="A7" s="12" t="s">
        <v>90</v>
      </c>
    </row>
    <row r="8" ht="12.75">
      <c r="A8" s="12"/>
    </row>
    <row r="9" spans="4:6" s="55" customFormat="1" ht="12.75">
      <c r="D9" s="61" t="s">
        <v>3</v>
      </c>
      <c r="F9" s="61" t="s">
        <v>49</v>
      </c>
    </row>
    <row r="10" spans="4:6" s="55" customFormat="1" ht="12.75" customHeight="1" hidden="1">
      <c r="D10" s="70"/>
      <c r="F10" s="70"/>
    </row>
    <row r="11" spans="4:6" s="55" customFormat="1" ht="12.75" customHeight="1" hidden="1">
      <c r="D11" s="70"/>
      <c r="E11" s="60"/>
      <c r="F11" s="70"/>
    </row>
    <row r="12" spans="4:6" s="55" customFormat="1" ht="12.75">
      <c r="D12" s="61" t="s">
        <v>5</v>
      </c>
      <c r="E12" s="60"/>
      <c r="F12" s="61" t="s">
        <v>5</v>
      </c>
    </row>
    <row r="14" ht="12.75">
      <c r="B14" s="1" t="s">
        <v>91</v>
      </c>
    </row>
    <row r="15" ht="3.75" customHeight="1"/>
    <row r="16" spans="2:6" ht="12.75">
      <c r="B16" s="2" t="s">
        <v>58</v>
      </c>
      <c r="D16" s="46">
        <f>+'[2]CONSOL-CF'!$Y$10/1000</f>
        <v>6752.117648500012</v>
      </c>
      <c r="F16" s="3">
        <f>+'[1]cash flow'!$D$15</f>
        <v>4507.461709999998</v>
      </c>
    </row>
    <row r="17" spans="2:6" ht="12.75">
      <c r="B17" s="2" t="s">
        <v>92</v>
      </c>
      <c r="D17" s="50">
        <f>(+'[2]CONSOL-CF'!$Y$14+'[2]CONSOL-CF'!$Y$16+'[2]CONSOL-CF'!$Y$18+'[2]CONSOL-CF'!$Y$19+'[2]CONSOL-CF'!$Y$22+'[2]CONSOL-CF'!$Y$23)/1000</f>
        <v>132.8949200000001</v>
      </c>
      <c r="F17" s="6">
        <f>+'[1]cash flow'!$D$19+'[1]cash flow'!$D$20+'[1]cash flow'!$D$21+'[1]cash flow'!$D$22+'[1]cash flow'!$D$23+'[1]cash flow'!$D$24</f>
        <v>202.91200000000003</v>
      </c>
    </row>
    <row r="18" spans="2:6" ht="12.75">
      <c r="B18" s="15" t="s">
        <v>93</v>
      </c>
      <c r="D18" s="46">
        <f>SUM(D16:D17)</f>
        <v>6885.012568500012</v>
      </c>
      <c r="F18" s="3">
        <f>SUM(F16:F17)</f>
        <v>4710.373709999998</v>
      </c>
    </row>
    <row r="19" spans="2:6" ht="12.75">
      <c r="B19" s="15" t="s">
        <v>94</v>
      </c>
      <c r="D19" s="50">
        <f>(+'[2]CONSOL-CF'!$Y$33+'[2]CONSOL-CF'!$Y$34+'[2]CONSOL-CF'!$Y$35+'[2]CONSOL-CF'!$Y$36+'[2]CONSOL-CF'!$Y$37+'[2]CONSOL-CF'!$Y$40)/1000</f>
        <v>-10206.685169999995</v>
      </c>
      <c r="F19" s="6">
        <f>+'[1]cash flow'!$D$28+'[1]cash flow'!$D$29+'[1]cash flow'!$D$30+'[1]cash flow'!$D$31+'[1]cash flow'!$D$32+'[1]cash flow'!$D$33</f>
        <v>-5464.189309999999</v>
      </c>
    </row>
    <row r="20" spans="2:6" ht="12.75">
      <c r="B20" s="2" t="s">
        <v>95</v>
      </c>
      <c r="D20" s="46">
        <f>SUM(D18:D19)</f>
        <v>-3321.672601499983</v>
      </c>
      <c r="F20" s="3">
        <f>SUM(F18:F19)</f>
        <v>-753.8156000000008</v>
      </c>
    </row>
    <row r="21" spans="2:6" ht="12.75">
      <c r="B21" s="15" t="s">
        <v>96</v>
      </c>
      <c r="D21" s="46">
        <f>+'[2]CONSOL-CF'!$Y$44/1000</f>
        <v>-184.21354</v>
      </c>
      <c r="F21" s="3">
        <f>+'[1]cash flow'!$D$37</f>
        <v>-142.43983000000003</v>
      </c>
    </row>
    <row r="22" spans="2:6" ht="12.75">
      <c r="B22" s="15" t="s">
        <v>97</v>
      </c>
      <c r="D22" s="50">
        <f>+'[2]CONSOL-CF'!$Y$45/1000</f>
        <v>-699.223</v>
      </c>
      <c r="F22" s="6">
        <f>+'[1]cash flow'!$D$38</f>
        <v>-548.734</v>
      </c>
    </row>
    <row r="23" spans="2:6" ht="13.5" thickBot="1">
      <c r="B23" s="13" t="s">
        <v>98</v>
      </c>
      <c r="D23" s="71">
        <f>SUM(D20:D22)</f>
        <v>-4205.109141499983</v>
      </c>
      <c r="F23" s="58">
        <f>SUM(F20:F22)</f>
        <v>-1444.989430000001</v>
      </c>
    </row>
    <row r="24" ht="12.75" customHeight="1">
      <c r="D24" s="46"/>
    </row>
    <row r="25" spans="2:4" ht="12.75">
      <c r="B25" s="1" t="s">
        <v>99</v>
      </c>
      <c r="D25" s="46"/>
    </row>
    <row r="26" ht="4.5" customHeight="1">
      <c r="D26" s="46"/>
    </row>
    <row r="27" spans="2:6" ht="12.75">
      <c r="B27" s="2" t="s">
        <v>100</v>
      </c>
      <c r="D27" s="53">
        <f>+'[2]CONSOL-CF'!$Y$52/1000</f>
        <v>27.62094</v>
      </c>
      <c r="F27" s="5">
        <f>+'[1]cash flow'!$D$44</f>
        <v>77.30926999999998</v>
      </c>
    </row>
    <row r="28" spans="2:6" ht="12.75">
      <c r="B28" s="2" t="s">
        <v>101</v>
      </c>
      <c r="D28" s="53">
        <f>+'[2]CONSOL-CF'!$Y$53/1000</f>
        <v>760</v>
      </c>
      <c r="F28" s="5">
        <v>0</v>
      </c>
    </row>
    <row r="29" spans="2:6" ht="12.75">
      <c r="B29" s="2" t="s">
        <v>6</v>
      </c>
      <c r="D29" s="53">
        <f>(+'[2]CONSOL-CF'!$Y$57+'[2]CONSOL-CF'!$Y$55)/1000</f>
        <v>-871.239</v>
      </c>
      <c r="F29" s="5">
        <f>+'[1]cash flow'!$D$45</f>
        <v>-1538.9448</v>
      </c>
    </row>
    <row r="30" spans="2:6" ht="12.75">
      <c r="B30" s="2" t="s">
        <v>102</v>
      </c>
      <c r="D30" s="53">
        <v>0</v>
      </c>
      <c r="F30" s="5">
        <v>0</v>
      </c>
    </row>
    <row r="31" spans="2:6" ht="12.75">
      <c r="B31" s="2" t="s">
        <v>103</v>
      </c>
      <c r="D31" s="50">
        <v>0</v>
      </c>
      <c r="F31" s="6">
        <v>0</v>
      </c>
    </row>
    <row r="32" spans="2:6" ht="13.5" thickBot="1">
      <c r="B32" s="2" t="s">
        <v>104</v>
      </c>
      <c r="D32" s="72">
        <f>SUM(D27:D31)</f>
        <v>-83.61806000000001</v>
      </c>
      <c r="F32" s="59">
        <f>SUM(F27:F31)</f>
        <v>-1461.63553</v>
      </c>
    </row>
    <row r="33" ht="12.75" customHeight="1">
      <c r="D33" s="46"/>
    </row>
    <row r="34" spans="2:4" ht="12.75">
      <c r="B34" s="1" t="s">
        <v>105</v>
      </c>
      <c r="D34" s="46"/>
    </row>
    <row r="35" spans="2:4" ht="4.5" customHeight="1">
      <c r="B35" s="1"/>
      <c r="D35" s="53"/>
    </row>
    <row r="36" spans="2:6" ht="13.5" customHeight="1">
      <c r="B36" s="15" t="s">
        <v>106</v>
      </c>
      <c r="D36" s="53">
        <f>(+'[2]CONSOL-CF'!$Y$68+'[2]CONSOL-CF'!$Y$69+'[2]CONSOL-CF'!$Y$84+'[2]CONSOL-CF'!$Y$85+'[2]CONSOL-CF'!$Y$86)/1000</f>
        <v>6392.1054699999995</v>
      </c>
      <c r="F36" s="5">
        <f>+'[1]cash flow'!$D$52+'[1]cash flow'!$D$53+'[1]cash flow'!$D$54</f>
        <v>-14052.137999999999</v>
      </c>
    </row>
    <row r="37" spans="2:6" ht="12.75" hidden="1">
      <c r="B37" s="2" t="s">
        <v>107</v>
      </c>
      <c r="D37" s="53"/>
      <c r="F37" s="5"/>
    </row>
    <row r="38" spans="2:6" ht="12.75" hidden="1">
      <c r="B38" s="2" t="s">
        <v>108</v>
      </c>
      <c r="D38" s="53"/>
      <c r="F38" s="5"/>
    </row>
    <row r="39" spans="2:6" ht="12.75">
      <c r="B39" s="13" t="s">
        <v>109</v>
      </c>
      <c r="D39" s="53">
        <f>+'[2]CONSOL-CF'!$Y$75/1000</f>
        <v>59.93146999999997</v>
      </c>
      <c r="F39" s="5">
        <f>+'[1]cash flow'!$D$51</f>
        <v>1978</v>
      </c>
    </row>
    <row r="40" spans="2:6" ht="12.75">
      <c r="B40" s="13" t="s">
        <v>110</v>
      </c>
      <c r="D40" s="50">
        <f>+'[2]CONSOL-CF'!$Y$80/1000</f>
        <v>-3900</v>
      </c>
      <c r="F40" s="6">
        <v>0</v>
      </c>
    </row>
    <row r="41" spans="2:6" ht="13.5" thickBot="1">
      <c r="B41" s="13" t="s">
        <v>111</v>
      </c>
      <c r="D41" s="72">
        <f>SUM(D36:D40)</f>
        <v>2552.036939999999</v>
      </c>
      <c r="F41" s="59">
        <f>SUM(F36:F40)</f>
        <v>-12074.137999999999</v>
      </c>
    </row>
    <row r="42" ht="12.75" customHeight="1">
      <c r="D42" s="46"/>
    </row>
    <row r="43" spans="2:6" ht="12.75">
      <c r="B43" s="13" t="s">
        <v>112</v>
      </c>
      <c r="D43" s="46">
        <f>D23+D32+D41</f>
        <v>-1736.6902614999835</v>
      </c>
      <c r="F43" s="3">
        <f>F23+F32+F41</f>
        <v>-14980.76296</v>
      </c>
    </row>
    <row r="44" ht="4.5" customHeight="1">
      <c r="D44" s="46"/>
    </row>
    <row r="45" spans="2:6" ht="12.75">
      <c r="B45" s="13" t="s">
        <v>113</v>
      </c>
      <c r="D45" s="46">
        <f>+'[2]CONSOL-CF'!$Y$96/1000</f>
        <v>19156.658</v>
      </c>
      <c r="F45" s="3">
        <f>+'[1]cash flow'!$D$62</f>
        <v>35288</v>
      </c>
    </row>
    <row r="46" ht="4.5" customHeight="1">
      <c r="D46" s="46"/>
    </row>
    <row r="47" spans="2:6" ht="13.5" thickBot="1">
      <c r="B47" s="13" t="s">
        <v>114</v>
      </c>
      <c r="D47" s="71">
        <f>+D43+D45</f>
        <v>17419.967738500018</v>
      </c>
      <c r="F47" s="58">
        <f>+F43+F45</f>
        <v>20307.23704</v>
      </c>
    </row>
    <row r="49" ht="12.75">
      <c r="B49" s="12" t="s">
        <v>36</v>
      </c>
    </row>
    <row r="50" spans="2:4" ht="12.75">
      <c r="B50" s="1" t="s">
        <v>37</v>
      </c>
      <c r="D50" s="16"/>
    </row>
  </sheetData>
  <printOptions/>
  <pageMargins left="1.33" right="0.5" top="1.25" bottom="0.25" header="0.25" footer="0"/>
  <pageSetup horizontalDpi="180" verticalDpi="180" orientation="portrait" paperSize="9" scale="90" r:id="rId1"/>
  <headerFooter alignWithMargins="0">
    <oddFooter>&amp;C&amp;"Times New Roman,Italic"&amp;8- Page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2004-08-20T06:59:55Z</cp:lastPrinted>
  <dcterms:created xsi:type="dcterms:W3CDTF">1996-10-14T23:33:28Z</dcterms:created>
  <dcterms:modified xsi:type="dcterms:W3CDTF">2004-08-20T07:00:38Z</dcterms:modified>
  <cp:category/>
  <cp:version/>
  <cp:contentType/>
  <cp:contentStatus/>
</cp:coreProperties>
</file>